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380" windowHeight="14190" activeTab="4"/>
  </bookViews>
  <sheets>
    <sheet name="IA mai 2015" sheetId="1" r:id="rId1"/>
    <sheet name="IA mai 2016" sheetId="2" r:id="rId2"/>
    <sheet name="Periodisering" sheetId="3" r:id="rId3"/>
    <sheet name="80 prosent" sheetId="4" r:id="rId4"/>
    <sheet name="Uføregrad" sheetId="5" r:id="rId5"/>
    <sheet name="Barnetillegg" sheetId="6" r:id="rId6"/>
  </sheets>
  <calcPr calcId="145621"/>
</workbook>
</file>

<file path=xl/calcChain.xml><?xml version="1.0" encoding="utf-8"?>
<calcChain xmlns="http://schemas.openxmlformats.org/spreadsheetml/2006/main">
  <c r="J15" i="5" l="1"/>
  <c r="I15" i="5"/>
  <c r="H15" i="5"/>
  <c r="C13" i="5" l="1"/>
  <c r="D13" i="5"/>
  <c r="E13" i="5"/>
  <c r="F13" i="5"/>
  <c r="G13" i="5"/>
  <c r="H13" i="5"/>
  <c r="I13" i="5"/>
  <c r="J13" i="5"/>
  <c r="C12" i="5"/>
  <c r="D12" i="5"/>
  <c r="E12" i="5"/>
  <c r="F12" i="5"/>
  <c r="G12" i="5"/>
  <c r="H12" i="5"/>
  <c r="I12" i="5"/>
  <c r="J12" i="5"/>
  <c r="B13" i="5"/>
  <c r="B12" i="5"/>
  <c r="J11" i="5"/>
  <c r="I11" i="5"/>
  <c r="H11" i="5"/>
  <c r="G11" i="5"/>
  <c r="F11" i="5"/>
  <c r="E11" i="5"/>
  <c r="D11" i="5"/>
  <c r="C11" i="5"/>
  <c r="B11" i="5"/>
  <c r="H2" i="6" l="1"/>
  <c r="H1" i="6"/>
  <c r="H19" i="6"/>
  <c r="H18" i="6"/>
  <c r="H17" i="6"/>
  <c r="H16" i="6"/>
  <c r="H10" i="6"/>
  <c r="H9" i="6"/>
  <c r="H8" i="6"/>
  <c r="H7" i="6"/>
  <c r="D16" i="6" l="1"/>
  <c r="D17" i="6" s="1"/>
  <c r="D18" i="6" s="1"/>
  <c r="D19" i="6" s="1"/>
  <c r="L7" i="6"/>
  <c r="L10" i="6" s="1"/>
  <c r="M10" i="6" s="1"/>
  <c r="N10" i="6" s="1"/>
  <c r="D7" i="6"/>
  <c r="D8" i="6" s="1"/>
  <c r="D9" i="6" s="1"/>
  <c r="D10" i="6" s="1"/>
  <c r="L9" i="6" l="1"/>
  <c r="M9" i="6" s="1"/>
  <c r="N9" i="6" s="1"/>
  <c r="L8" i="6"/>
  <c r="M8" i="6" s="1"/>
  <c r="N8" i="6" s="1"/>
  <c r="M7" i="6"/>
  <c r="N7" i="6" s="1"/>
  <c r="C14" i="3"/>
  <c r="C13" i="4" l="1"/>
  <c r="O9" i="4" l="1"/>
  <c r="M9" i="4"/>
  <c r="M17" i="4"/>
  <c r="M18" i="4" s="1"/>
  <c r="K5" i="4"/>
  <c r="C11" i="4"/>
  <c r="C10" i="4"/>
  <c r="F6" i="4"/>
  <c r="C9" i="4" l="1"/>
  <c r="C12" i="4" l="1"/>
  <c r="B4" i="5" l="1"/>
  <c r="C8" i="4"/>
  <c r="C6" i="4"/>
  <c r="H6" i="4"/>
  <c r="F16" i="4"/>
  <c r="M19" i="4" s="1"/>
  <c r="F14" i="4"/>
  <c r="F15" i="4" s="1"/>
  <c r="E19" i="4" l="1"/>
  <c r="M10" i="4"/>
  <c r="L13" i="4" s="1"/>
  <c r="O10" i="4"/>
  <c r="L22" i="4"/>
  <c r="F7" i="4"/>
  <c r="E10" i="4" s="1"/>
  <c r="H7" i="4"/>
  <c r="C7" i="3"/>
  <c r="D38" i="2"/>
  <c r="D26" i="2"/>
  <c r="E26" i="2" s="1"/>
  <c r="D30" i="2"/>
  <c r="D33" i="2" s="1"/>
  <c r="D28" i="2"/>
  <c r="B19" i="2"/>
  <c r="G18" i="2"/>
  <c r="D12" i="2"/>
  <c r="D13" i="2" s="1"/>
  <c r="E6" i="2"/>
  <c r="B39" i="2" l="1"/>
  <c r="D34" i="2"/>
  <c r="G38" i="2"/>
  <c r="F5" i="2"/>
  <c r="F6" i="2" s="1"/>
  <c r="F8" i="2" s="1"/>
  <c r="G8" i="2" s="1"/>
  <c r="B17" i="2" s="1"/>
  <c r="F27" i="2"/>
  <c r="F29" i="2" s="1"/>
  <c r="G29" i="2" s="1"/>
  <c r="B37" i="2" s="1"/>
  <c r="G18" i="1"/>
  <c r="H29" i="2" l="1"/>
  <c r="H8" i="2"/>
  <c r="D38" i="1"/>
  <c r="G38" i="1" s="1"/>
  <c r="D26" i="1"/>
  <c r="F5" i="1" s="1"/>
  <c r="E26" i="1" l="1"/>
  <c r="E6" i="1"/>
  <c r="D28" i="1"/>
  <c r="D30" i="1"/>
  <c r="B19" i="1"/>
  <c r="D12" i="1"/>
  <c r="D13" i="1" s="1"/>
  <c r="B39" i="1" l="1"/>
  <c r="D33" i="1"/>
  <c r="D34" i="1" s="1"/>
  <c r="F6" i="1"/>
  <c r="F8" i="1" s="1"/>
  <c r="F27" i="1"/>
  <c r="F29" i="1" l="1"/>
  <c r="G29" i="1" s="1"/>
  <c r="B37" i="1" s="1"/>
  <c r="G8" i="1"/>
  <c r="B17" i="1" s="1"/>
  <c r="H29" i="1" l="1"/>
  <c r="H8" i="1"/>
</calcChain>
</file>

<file path=xl/sharedStrings.xml><?xml version="1.0" encoding="utf-8"?>
<sst xmlns="http://schemas.openxmlformats.org/spreadsheetml/2006/main" count="191" uniqueCount="99">
  <si>
    <t>Avkortning i mai</t>
  </si>
  <si>
    <t>Fyll inn:</t>
  </si>
  <si>
    <t>Maksbeløp i januar</t>
  </si>
  <si>
    <t>Kompensasjonsgrad</t>
  </si>
  <si>
    <t>Maksbeløp i mai</t>
  </si>
  <si>
    <t>Utbetalt hittil i år i mai</t>
  </si>
  <si>
    <t>Overskytende i mai</t>
  </si>
  <si>
    <t>Forventet inntekt i mai</t>
  </si>
  <si>
    <t>Innteksgrense i mai</t>
  </si>
  <si>
    <t>Årlig reduksjon i mai</t>
  </si>
  <si>
    <t>Utbetalingsrad i mai</t>
  </si>
  <si>
    <t>maksbeløp-utbetalt</t>
  </si>
  <si>
    <t>(avkortning per måned)</t>
  </si>
  <si>
    <t>nytt månedsbeløp</t>
  </si>
  <si>
    <t>Uføregrad</t>
  </si>
  <si>
    <t>Avkortning i januar</t>
  </si>
  <si>
    <t>Forventet inntekt i januar</t>
  </si>
  <si>
    <t>Innteksgrense i januar</t>
  </si>
  <si>
    <t>Overskytende i januar</t>
  </si>
  <si>
    <t>Årlig reduksjon i januar</t>
  </si>
  <si>
    <t>Utbetalingsrad i januar</t>
  </si>
  <si>
    <t>Forskjell: deler rest på 12, ikke 8</t>
  </si>
  <si>
    <t>I tillegg er det ikke utbetalt UT "hittil" i januar</t>
  </si>
  <si>
    <t>rest utbetaling etter "reduksjon"</t>
  </si>
  <si>
    <t>UEI/100 % ytelse</t>
  </si>
  <si>
    <t>IFU i mai:</t>
  </si>
  <si>
    <t>"Ny uføregrad"</t>
  </si>
  <si>
    <t>(denne vil være ulik så lenge inntektsgrensen ikke er 60000)</t>
  </si>
  <si>
    <t>Periodisert maksbeløp:</t>
  </si>
  <si>
    <t>(UEI=UT etter inntektsavkortning)</t>
  </si>
  <si>
    <t>OBS! Dette regnearket forutsetter at du har verdier for mai og regner i utgangspunktet "tilbake" til januar. (Jeg har gjort det slik fordi det er i mai det blir vanskelig å regne ut riktig avkortning pga. periodisering av maksbeløpet.)</t>
  </si>
  <si>
    <t>(jeg har ikke støtte for omregning av denne da 60.000 kroner IKKE skal G-justeres for brukere med slik beløpsgrense)</t>
  </si>
  <si>
    <t>rest (årlig) utbetaling</t>
  </si>
  <si>
    <t>IFU i januar:</t>
  </si>
  <si>
    <t>Merk: Utbetalingsgrad blir regnet riktig uten at man behøver å taste inn noe "ekstra", men "ny uføregrad" krever at man taster inn IFU per mai. (Ingen av de andre utregningene i dette regnearket avhenger av IFU.)</t>
  </si>
  <si>
    <t>(det er nødvendig å oppgi uføregrad da utbetalingsgrad regnes ut fra 100 % ytelse)</t>
  </si>
  <si>
    <t>Ved G-endring: G er "hardkodet" i D26 (maksbeløp i januar) og i D38 (IFU i januar)</t>
  </si>
  <si>
    <t>«Utbetalingsgrad = redusert uføretrygd/100 % uføretrygd (vises i prosent).» Regnes IKKE ut fra periodisert maksbeløp slik man gjør når man regner ut selve uføretrygden. (Jeg har prøvd å kontrolleregne, med periodisering kan man få utbetalingsgrad over 100 %.)</t>
  </si>
  <si>
    <t>80 % av IFU:</t>
  </si>
  <si>
    <t>(månedsbeløp)</t>
  </si>
  <si>
    <t>Avkortning i mai 2016</t>
  </si>
  <si>
    <t>Avkortning i januar 2016</t>
  </si>
  <si>
    <t>Periodisering av maksbeløp i mai</t>
  </si>
  <si>
    <t>Maks januar:</t>
  </si>
  <si>
    <t>Maks mai:</t>
  </si>
  <si>
    <t>Periodisert:</t>
  </si>
  <si>
    <t>G</t>
  </si>
  <si>
    <t>VTA</t>
  </si>
  <si>
    <t>0,4 G</t>
  </si>
  <si>
    <t>IFU</t>
  </si>
  <si>
    <t>80 % av IFU</t>
  </si>
  <si>
    <t>IEU</t>
  </si>
  <si>
    <t>Inntektsgrense</t>
  </si>
  <si>
    <t>Konvertert</t>
  </si>
  <si>
    <t>Beløpsgrense</t>
  </si>
  <si>
    <t>Er inntektsgrensen &gt; 80 % av IFU?</t>
  </si>
  <si>
    <t>Uføregrad: 35</t>
  </si>
  <si>
    <t>Uføregrad: 50</t>
  </si>
  <si>
    <t>Uføregrad: 30</t>
  </si>
  <si>
    <t>Økning av grad</t>
  </si>
  <si>
    <t>Forrige IEU</t>
  </si>
  <si>
    <t>Inntektsgrense ut året</t>
  </si>
  <si>
    <t>Inntektsgrense neste år: se blokken til venstre</t>
  </si>
  <si>
    <t>Ny sak</t>
  </si>
  <si>
    <t>Uføregrad: 40</t>
  </si>
  <si>
    <t>Uføregrad: 55</t>
  </si>
  <si>
    <t>Uføregrad: 45</t>
  </si>
  <si>
    <t>"Uføregrad"</t>
  </si>
  <si>
    <t>(For at dette skal gi mening må uføregraden i C6 være større enn K5.)</t>
  </si>
  <si>
    <t>Periodisering av grunnbeløpet</t>
  </si>
  <si>
    <t>Grunnbeløp forrige år</t>
  </si>
  <si>
    <t>Grunnbeløp i år</t>
  </si>
  <si>
    <t>Gjenomsnitt i år</t>
  </si>
  <si>
    <t>Grunnbeløp:</t>
  </si>
  <si>
    <t>Barnetillegg</t>
  </si>
  <si>
    <t>Fellesbarn</t>
  </si>
  <si>
    <t>Utbetalt</t>
  </si>
  <si>
    <t>per år</t>
  </si>
  <si>
    <t>per måned</t>
  </si>
  <si>
    <t>Fribeløp</t>
  </si>
  <si>
    <t>1. barn</t>
  </si>
  <si>
    <t>2. barn</t>
  </si>
  <si>
    <t>3. barn</t>
  </si>
  <si>
    <t>4. barn</t>
  </si>
  <si>
    <t>Særkullsbarn</t>
  </si>
  <si>
    <t>Grense for bortfall</t>
  </si>
  <si>
    <t>TO DO: Inntektsavkortning. Inntektsavkortning når det både er fellesbarn og særkullsbarn.</t>
  </si>
  <si>
    <t>per år (0,4 G)</t>
  </si>
  <si>
    <t>Fribeløp (ftrl. § 12-16):</t>
  </si>
  <si>
    <t>Fellesbarn: 4,6 G for det første, 0,4 for hver ekstra barn.</t>
  </si>
  <si>
    <t>Særkullsbarn: 3,1 G for det første, 0,4 for hver ekstra barn.</t>
  </si>
  <si>
    <t>0, 4 G*2</t>
  </si>
  <si>
    <t>Grensen for bortfall er fribeløpet + 0,4 G*2. (Altså fribeløpet + to barnetillegg.)</t>
  </si>
  <si>
    <t>Minste-IFU</t>
  </si>
  <si>
    <t>Merk: Pesys kontroller minstenivået på IFU mot G på uføretidspunktet.</t>
  </si>
  <si>
    <t>Ved beregning av uføregrad benytter Pesys IFU G-justert til virkningstidspunktet. IEU må da også være på virkningstidspunktet.</t>
  </si>
  <si>
    <t>I innvilgelsesbrevet står det i tillegg «Oppjustert til dagens verdi tilsvarer dette en inntekt på &lt;Oifu&gt; kroner. » OIFU er justert til saksbehandlingstidspunktet.</t>
  </si>
  <si>
    <t>Pesys oppjusterer IFU fra uføretidspunktet. Så hvis uft. Med G = 85245 blir 3,3 G oppjustert til 88.370: 281309/85245*88370=291621,5. Én krone høyere enn 3,3*88370.</t>
  </si>
  <si>
    <t>(For å regne ut inntektsgrensen må IEU G-justeres, og det blir litt for komplisert siden jeg da må ha støtte for å angi når IEU er fra.)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</si>
</sst>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0" fontId="1" fillId="0" borderId="0" xfId="0" applyFont="1" applyAlignment="1">
      <alignment vertical="center"/>
    </xf>
    <xf numFmtId="3" fontId="0" fillId="0" borderId="0" xfId="0" applyNumberFormat="1" applyFill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2" fillId="0" borderId="0" xfId="0" applyFont="1"/>
    <xf numFmtId="164" fontId="0" fillId="2" borderId="0" xfId="1" applyNumberFormat="1" applyFont="1" applyFill="1"/>
    <xf numFmtId="0" fontId="4" fillId="0" borderId="1" xfId="0" applyFont="1" applyBorder="1"/>
    <xf numFmtId="0" fontId="0" fillId="0" borderId="2" xfId="0" applyBorder="1"/>
    <xf numFmtId="0" fontId="4" fillId="0" borderId="3" xfId="0" applyFont="1" applyBorder="1"/>
    <xf numFmtId="0" fontId="5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5" borderId="5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4" fillId="0" borderId="4" xfId="0" applyFont="1" applyBorder="1"/>
    <xf numFmtId="0" fontId="0" fillId="5" borderId="6" xfId="0" applyFont="1" applyFill="1" applyBorder="1" applyAlignment="1">
      <alignment vertical="center"/>
    </xf>
    <xf numFmtId="0" fontId="0" fillId="0" borderId="7" xfId="0" applyBorder="1"/>
    <xf numFmtId="0" fontId="0" fillId="0" borderId="8" xfId="0" applyBorder="1"/>
    <xf numFmtId="43" fontId="0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0" fontId="4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workbookViewId="0">
      <selection activeCell="D5" sqref="D5"/>
    </sheetView>
  </sheetViews>
  <sheetFormatPr baseColWidth="10" defaultRowHeight="15" x14ac:dyDescent="0.25"/>
  <cols>
    <col min="2" max="2" width="15" customWidth="1"/>
    <col min="4" max="4" width="12" bestFit="1" customWidth="1"/>
    <col min="5" max="5" width="15.28515625" customWidth="1"/>
    <col min="6" max="6" width="30.85546875" customWidth="1"/>
  </cols>
  <sheetData>
    <row r="1" spans="2:9" x14ac:dyDescent="0.25">
      <c r="C1" t="s">
        <v>30</v>
      </c>
    </row>
    <row r="4" spans="2:9" x14ac:dyDescent="0.25">
      <c r="B4" t="s">
        <v>0</v>
      </c>
      <c r="F4" s="6" t="s">
        <v>28</v>
      </c>
    </row>
    <row r="5" spans="2:9" x14ac:dyDescent="0.25">
      <c r="B5" t="s">
        <v>1</v>
      </c>
      <c r="D5" s="3"/>
      <c r="F5">
        <f>ROUND(4/12*D26+8/12*D6,0)</f>
        <v>254713</v>
      </c>
    </row>
    <row r="6" spans="2:9" x14ac:dyDescent="0.25">
      <c r="B6" t="s">
        <v>4</v>
      </c>
      <c r="D6" s="2">
        <v>257424</v>
      </c>
      <c r="E6">
        <f>ROUND(D6/12,0)</f>
        <v>21452</v>
      </c>
      <c r="F6">
        <f>(F5-D8)</f>
        <v>181701</v>
      </c>
      <c r="G6" t="s">
        <v>11</v>
      </c>
    </row>
    <row r="7" spans="2:9" x14ac:dyDescent="0.25">
      <c r="B7" t="s">
        <v>3</v>
      </c>
      <c r="D7" s="1">
        <v>0.62690000000000001</v>
      </c>
      <c r="E7" s="6" t="s">
        <v>39</v>
      </c>
    </row>
    <row r="8" spans="2:9" x14ac:dyDescent="0.25">
      <c r="B8" t="s">
        <v>5</v>
      </c>
      <c r="D8" s="1">
        <v>73012</v>
      </c>
      <c r="F8">
        <f>ROUND(F6-D13,0)</f>
        <v>151451</v>
      </c>
      <c r="G8" s="8">
        <f>ROUND(F8/8,0)</f>
        <v>18931</v>
      </c>
      <c r="H8">
        <f>ROUND(E6-G8,0)</f>
        <v>2521</v>
      </c>
      <c r="I8" t="s">
        <v>12</v>
      </c>
    </row>
    <row r="9" spans="2:9" x14ac:dyDescent="0.25">
      <c r="B9" t="s">
        <v>7</v>
      </c>
      <c r="D9" s="1">
        <v>108253</v>
      </c>
      <c r="F9" t="s">
        <v>23</v>
      </c>
      <c r="G9" t="s">
        <v>13</v>
      </c>
    </row>
    <row r="10" spans="2:9" x14ac:dyDescent="0.25">
      <c r="B10" t="s">
        <v>8</v>
      </c>
      <c r="D10" s="1">
        <v>60000</v>
      </c>
    </row>
    <row r="11" spans="2:9" x14ac:dyDescent="0.25">
      <c r="D11" s="3"/>
    </row>
    <row r="12" spans="2:9" x14ac:dyDescent="0.25">
      <c r="B12" t="s">
        <v>6</v>
      </c>
      <c r="D12">
        <f>(D9-D10)</f>
        <v>48253</v>
      </c>
    </row>
    <row r="13" spans="2:9" x14ac:dyDescent="0.25">
      <c r="B13" t="s">
        <v>9</v>
      </c>
      <c r="D13">
        <f>ROUND(D12*D7,0)</f>
        <v>30250</v>
      </c>
    </row>
    <row r="14" spans="2:9" x14ac:dyDescent="0.25">
      <c r="B14" t="s">
        <v>14</v>
      </c>
      <c r="D14" s="1">
        <v>100</v>
      </c>
      <c r="E14" t="s">
        <v>35</v>
      </c>
    </row>
    <row r="16" spans="2:9" x14ac:dyDescent="0.25">
      <c r="B16" t="s">
        <v>10</v>
      </c>
      <c r="D16" t="s">
        <v>24</v>
      </c>
      <c r="F16" t="s">
        <v>29</v>
      </c>
    </row>
    <row r="17" spans="2:9" x14ac:dyDescent="0.25">
      <c r="B17">
        <f>ROUND((G8*12)/(D6*100/D14)*100,0)</f>
        <v>88</v>
      </c>
    </row>
    <row r="18" spans="2:9" x14ac:dyDescent="0.25">
      <c r="B18" t="s">
        <v>26</v>
      </c>
      <c r="C18" t="s">
        <v>25</v>
      </c>
      <c r="D18" s="1">
        <v>410639</v>
      </c>
      <c r="F18" t="s">
        <v>38</v>
      </c>
      <c r="G18">
        <f>ROUND(0.8*D18,0)</f>
        <v>328511</v>
      </c>
    </row>
    <row r="19" spans="2:9" x14ac:dyDescent="0.25">
      <c r="B19" s="4">
        <f>ROUND(100-(D9/D18)*100,0)</f>
        <v>74</v>
      </c>
    </row>
    <row r="24" spans="2:9" x14ac:dyDescent="0.25">
      <c r="B24" t="s">
        <v>15</v>
      </c>
    </row>
    <row r="25" spans="2:9" x14ac:dyDescent="0.25">
      <c r="B25" t="s">
        <v>1</v>
      </c>
    </row>
    <row r="26" spans="2:9" x14ac:dyDescent="0.25">
      <c r="B26" t="s">
        <v>2</v>
      </c>
      <c r="D26" s="3">
        <f>ROUND(D6/91253*88370,0)</f>
        <v>249291</v>
      </c>
      <c r="E26">
        <f>ROUND(D26/12,0)</f>
        <v>20774</v>
      </c>
    </row>
    <row r="27" spans="2:9" x14ac:dyDescent="0.25">
      <c r="D27" s="5"/>
      <c r="E27" s="6" t="s">
        <v>39</v>
      </c>
      <c r="F27">
        <f>(D26-0)</f>
        <v>249291</v>
      </c>
      <c r="G27" t="s">
        <v>11</v>
      </c>
    </row>
    <row r="28" spans="2:9" x14ac:dyDescent="0.25">
      <c r="B28" t="s">
        <v>3</v>
      </c>
      <c r="D28" s="1">
        <f>D7</f>
        <v>0.62690000000000001</v>
      </c>
    </row>
    <row r="29" spans="2:9" x14ac:dyDescent="0.25">
      <c r="D29" s="3"/>
      <c r="F29">
        <f>ROUND(F27-D34,0)</f>
        <v>219041</v>
      </c>
      <c r="G29" s="8">
        <f>ROUND(F29/12,0)</f>
        <v>18253</v>
      </c>
      <c r="H29">
        <f>ROUND(E26-G29,0)</f>
        <v>2521</v>
      </c>
      <c r="I29" t="s">
        <v>12</v>
      </c>
    </row>
    <row r="30" spans="2:9" x14ac:dyDescent="0.25">
      <c r="B30" t="s">
        <v>16</v>
      </c>
      <c r="D30" s="1">
        <f>D9</f>
        <v>108253</v>
      </c>
      <c r="F30" s="6" t="s">
        <v>32</v>
      </c>
      <c r="G30" t="s">
        <v>13</v>
      </c>
    </row>
    <row r="31" spans="2:9" x14ac:dyDescent="0.25">
      <c r="B31" t="s">
        <v>17</v>
      </c>
      <c r="D31" s="7">
        <v>60000</v>
      </c>
      <c r="E31" t="s">
        <v>27</v>
      </c>
      <c r="H31" t="s">
        <v>31</v>
      </c>
    </row>
    <row r="32" spans="2:9" x14ac:dyDescent="0.25">
      <c r="F32" t="s">
        <v>21</v>
      </c>
    </row>
    <row r="33" spans="2:7" x14ac:dyDescent="0.25">
      <c r="B33" t="s">
        <v>18</v>
      </c>
      <c r="D33">
        <f>(D30-D31)</f>
        <v>48253</v>
      </c>
      <c r="F33" t="s">
        <v>22</v>
      </c>
    </row>
    <row r="34" spans="2:7" x14ac:dyDescent="0.25">
      <c r="B34" t="s">
        <v>19</v>
      </c>
      <c r="D34">
        <f>ROUND(D33*D28,0)</f>
        <v>30250</v>
      </c>
    </row>
    <row r="36" spans="2:7" x14ac:dyDescent="0.25">
      <c r="B36" t="s">
        <v>20</v>
      </c>
    </row>
    <row r="37" spans="2:7" x14ac:dyDescent="0.25">
      <c r="B37">
        <f>ROUND((G29*12)/(D26*100/D14)*100,0)</f>
        <v>88</v>
      </c>
    </row>
    <row r="38" spans="2:7" x14ac:dyDescent="0.25">
      <c r="B38" t="s">
        <v>26</v>
      </c>
      <c r="C38" t="s">
        <v>33</v>
      </c>
      <c r="D38">
        <f>ROUND(D18/91253*88370,0)</f>
        <v>397665</v>
      </c>
      <c r="F38" t="s">
        <v>38</v>
      </c>
      <c r="G38">
        <f>ROUND(0.8*D38,0)</f>
        <v>318132</v>
      </c>
    </row>
    <row r="39" spans="2:7" x14ac:dyDescent="0.25">
      <c r="B39" s="4">
        <f>ROUND(100-(D30/D38)*100,0)</f>
        <v>73</v>
      </c>
    </row>
    <row r="41" spans="2:7" x14ac:dyDescent="0.25">
      <c r="B41" t="s">
        <v>34</v>
      </c>
    </row>
    <row r="42" spans="2:7" x14ac:dyDescent="0.25">
      <c r="B42" t="s">
        <v>36</v>
      </c>
    </row>
    <row r="44" spans="2:7" x14ac:dyDescent="0.25">
      <c r="B44" s="9" t="s">
        <v>37</v>
      </c>
    </row>
  </sheetData>
  <dataValidations count="3">
    <dataValidation allowBlank="1" showInputMessage="1" showErrorMessage="1" prompt="I Pesys, skjermbildet Vis beregning: Se «Årsbeløp» under «Uføretrygd før eventuell inntektsavkorting»._x000a__x000a_Du skal IKKE velge «100 % uføretrygd», da maksbeløpet beregnes ut fra uføergraden." sqref="D6"/>
    <dataValidation allowBlank="1" showInputMessage="1" showErrorMessage="1" prompt="Fire måneder (januar–april) med januar-maksbeløpet og 8 måneder med mai-maksbeløpet (mai–desember)." sqref="F4"/>
    <dataValidation allowBlank="1" showInputMessage="1" showErrorMessage="1" prompt="Utregning av hva denne inntekten (IEU) ville gitt i uføergrad. (Det tas da ikke hensyn til beløpsgrense på kr. 60.000/0,4 G.)" sqref="B1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workbookViewId="0">
      <selection activeCell="D5" sqref="D5"/>
    </sheetView>
  </sheetViews>
  <sheetFormatPr baseColWidth="10" defaultRowHeight="15" x14ac:dyDescent="0.25"/>
  <cols>
    <col min="2" max="3" width="14.42578125" customWidth="1"/>
    <col min="5" max="5" width="17.42578125" customWidth="1"/>
  </cols>
  <sheetData>
    <row r="1" spans="2:9" x14ac:dyDescent="0.25">
      <c r="C1" t="s">
        <v>30</v>
      </c>
    </row>
    <row r="4" spans="2:9" x14ac:dyDescent="0.25">
      <c r="B4" t="s">
        <v>40</v>
      </c>
      <c r="F4" s="6" t="s">
        <v>28</v>
      </c>
    </row>
    <row r="5" spans="2:9" x14ac:dyDescent="0.25">
      <c r="B5" t="s">
        <v>1</v>
      </c>
      <c r="D5" s="3"/>
      <c r="F5">
        <f>ROUND(4/12*D26+8/12*D6,0)</f>
        <v>283385</v>
      </c>
    </row>
    <row r="6" spans="2:9" x14ac:dyDescent="0.25">
      <c r="B6" t="s">
        <v>4</v>
      </c>
      <c r="D6" s="2">
        <v>287236</v>
      </c>
      <c r="E6">
        <f>ROUND(D6/12,0)</f>
        <v>23936</v>
      </c>
      <c r="F6">
        <f>(F5-D8)</f>
        <v>191489</v>
      </c>
      <c r="G6" t="s">
        <v>11</v>
      </c>
    </row>
    <row r="7" spans="2:9" x14ac:dyDescent="0.25">
      <c r="B7" t="s">
        <v>3</v>
      </c>
      <c r="D7" s="1">
        <v>0.6714</v>
      </c>
      <c r="E7" s="6" t="s">
        <v>39</v>
      </c>
    </row>
    <row r="8" spans="2:9" x14ac:dyDescent="0.25">
      <c r="B8" t="s">
        <v>5</v>
      </c>
      <c r="D8" s="1">
        <v>91896</v>
      </c>
      <c r="F8">
        <f>ROUND(F6-D13,0)</f>
        <v>171347</v>
      </c>
      <c r="G8" s="8">
        <f>ROUND(F8/8,0)</f>
        <v>21418</v>
      </c>
      <c r="H8">
        <f>ROUND(E6-G8,0)</f>
        <v>2518</v>
      </c>
      <c r="I8" t="s">
        <v>12</v>
      </c>
    </row>
    <row r="9" spans="2:9" x14ac:dyDescent="0.25">
      <c r="B9" t="s">
        <v>7</v>
      </c>
      <c r="D9" s="1">
        <v>90000</v>
      </c>
      <c r="F9" t="s">
        <v>23</v>
      </c>
      <c r="G9" t="s">
        <v>13</v>
      </c>
    </row>
    <row r="10" spans="2:9" x14ac:dyDescent="0.25">
      <c r="B10" t="s">
        <v>8</v>
      </c>
      <c r="D10" s="1">
        <v>60000</v>
      </c>
    </row>
    <row r="11" spans="2:9" x14ac:dyDescent="0.25">
      <c r="D11" s="3"/>
    </row>
    <row r="12" spans="2:9" x14ac:dyDescent="0.25">
      <c r="B12" t="s">
        <v>6</v>
      </c>
      <c r="D12">
        <f>(D9-D10)</f>
        <v>30000</v>
      </c>
    </row>
    <row r="13" spans="2:9" x14ac:dyDescent="0.25">
      <c r="B13" t="s">
        <v>9</v>
      </c>
      <c r="D13">
        <f>ROUND(D12*D7,0)</f>
        <v>20142</v>
      </c>
    </row>
    <row r="14" spans="2:9" x14ac:dyDescent="0.25">
      <c r="B14" t="s">
        <v>14</v>
      </c>
      <c r="D14" s="1">
        <v>100</v>
      </c>
      <c r="E14" t="s">
        <v>35</v>
      </c>
    </row>
    <row r="16" spans="2:9" x14ac:dyDescent="0.25">
      <c r="B16" t="s">
        <v>10</v>
      </c>
      <c r="D16" t="s">
        <v>24</v>
      </c>
      <c r="F16" t="s">
        <v>29</v>
      </c>
    </row>
    <row r="17" spans="2:9" x14ac:dyDescent="0.25">
      <c r="B17">
        <f>ROUND((G8*12)/(D6*100/D14)*100,0)</f>
        <v>89</v>
      </c>
    </row>
    <row r="18" spans="2:9" x14ac:dyDescent="0.25">
      <c r="B18" t="s">
        <v>26</v>
      </c>
      <c r="C18" t="s">
        <v>25</v>
      </c>
      <c r="D18" s="1">
        <v>427847</v>
      </c>
      <c r="F18" t="s">
        <v>38</v>
      </c>
      <c r="G18">
        <f>ROUND(0.8*D18,0)</f>
        <v>342278</v>
      </c>
    </row>
    <row r="19" spans="2:9" x14ac:dyDescent="0.25">
      <c r="B19" s="4">
        <f>ROUND(100-(D9/D18)*100,0)</f>
        <v>79</v>
      </c>
    </row>
    <row r="24" spans="2:9" x14ac:dyDescent="0.25">
      <c r="B24" t="s">
        <v>41</v>
      </c>
    </row>
    <row r="25" spans="2:9" x14ac:dyDescent="0.25">
      <c r="B25" t="s">
        <v>1</v>
      </c>
    </row>
    <row r="26" spans="2:9" x14ac:dyDescent="0.25">
      <c r="B26" t="s">
        <v>2</v>
      </c>
      <c r="D26" s="3">
        <f>ROUND(D6/95077*91253,0)</f>
        <v>275683</v>
      </c>
      <c r="E26">
        <f>ROUND(D26/12,0)</f>
        <v>22974</v>
      </c>
    </row>
    <row r="27" spans="2:9" x14ac:dyDescent="0.25">
      <c r="D27" s="5"/>
      <c r="E27" s="6" t="s">
        <v>39</v>
      </c>
      <c r="F27">
        <f>(D26-0)</f>
        <v>275683</v>
      </c>
      <c r="G27" t="s">
        <v>11</v>
      </c>
    </row>
    <row r="28" spans="2:9" x14ac:dyDescent="0.25">
      <c r="B28" t="s">
        <v>3</v>
      </c>
      <c r="D28" s="1">
        <f>D7</f>
        <v>0.6714</v>
      </c>
    </row>
    <row r="29" spans="2:9" x14ac:dyDescent="0.25">
      <c r="D29" s="3"/>
      <c r="F29">
        <f>ROUND(F27-D34,0)</f>
        <v>255541</v>
      </c>
      <c r="G29" s="8">
        <f>ROUND(F29/12,0)</f>
        <v>21295</v>
      </c>
      <c r="H29">
        <f>ROUND(E26-G29,0)</f>
        <v>1679</v>
      </c>
      <c r="I29" t="s">
        <v>12</v>
      </c>
    </row>
    <row r="30" spans="2:9" x14ac:dyDescent="0.25">
      <c r="B30" t="s">
        <v>16</v>
      </c>
      <c r="D30" s="1">
        <f>D9</f>
        <v>90000</v>
      </c>
      <c r="F30" s="6" t="s">
        <v>32</v>
      </c>
      <c r="G30" t="s">
        <v>13</v>
      </c>
    </row>
    <row r="31" spans="2:9" x14ac:dyDescent="0.25">
      <c r="B31" t="s">
        <v>17</v>
      </c>
      <c r="D31" s="7">
        <v>60000</v>
      </c>
      <c r="E31" t="s">
        <v>27</v>
      </c>
      <c r="H31" t="s">
        <v>31</v>
      </c>
    </row>
    <row r="32" spans="2:9" x14ac:dyDescent="0.25">
      <c r="F32" t="s">
        <v>21</v>
      </c>
    </row>
    <row r="33" spans="2:7" x14ac:dyDescent="0.25">
      <c r="B33" t="s">
        <v>18</v>
      </c>
      <c r="D33">
        <f>(D30-D31)</f>
        <v>30000</v>
      </c>
      <c r="F33" t="s">
        <v>22</v>
      </c>
    </row>
    <row r="34" spans="2:7" x14ac:dyDescent="0.25">
      <c r="B34" t="s">
        <v>19</v>
      </c>
      <c r="D34">
        <f>ROUND(D33*D28,0)</f>
        <v>20142</v>
      </c>
    </row>
    <row r="36" spans="2:7" x14ac:dyDescent="0.25">
      <c r="B36" t="s">
        <v>20</v>
      </c>
    </row>
    <row r="37" spans="2:7" x14ac:dyDescent="0.25">
      <c r="B37">
        <f>ROUND((G29*12)/(D26*100/D14)*100,0)</f>
        <v>93</v>
      </c>
    </row>
    <row r="38" spans="2:7" x14ac:dyDescent="0.25">
      <c r="B38" t="s">
        <v>26</v>
      </c>
      <c r="C38" t="s">
        <v>33</v>
      </c>
      <c r="D38">
        <f>ROUND(D18/95077*91253,0)</f>
        <v>410639</v>
      </c>
      <c r="F38" t="s">
        <v>38</v>
      </c>
      <c r="G38">
        <f>ROUND(0.8*D38,0)</f>
        <v>328511</v>
      </c>
    </row>
    <row r="39" spans="2:7" x14ac:dyDescent="0.25">
      <c r="B39" s="4">
        <f>ROUND(100-(D30/D38)*100,0)</f>
        <v>78</v>
      </c>
    </row>
    <row r="41" spans="2:7" x14ac:dyDescent="0.25">
      <c r="B41" t="s">
        <v>34</v>
      </c>
    </row>
    <row r="42" spans="2:7" x14ac:dyDescent="0.25">
      <c r="B42" t="s">
        <v>36</v>
      </c>
    </row>
    <row r="44" spans="2:7" x14ac:dyDescent="0.25">
      <c r="B44" s="9" t="s">
        <v>37</v>
      </c>
    </row>
  </sheetData>
  <dataValidations count="2">
    <dataValidation allowBlank="1" showInputMessage="1" showErrorMessage="1" prompt="Fire måneder (januar–april) med januar-maksbeløpet og 8 måneder med mai-maksbeløpet (mai–desember)." sqref="F4"/>
    <dataValidation allowBlank="1" showInputMessage="1" showErrorMessage="1" prompt="I Pesys, skjermbildet Vis beregning: Se «Årsbeløp» under «Uføretrygd før eventuell inntektsavkorting»._x000a__x000a_Du skal IKKE velge «100 % uføretrygd», da maksbeløpet beregnes ut fra uføergraden." sqref="D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C3" sqref="C3"/>
    </sheetView>
  </sheetViews>
  <sheetFormatPr baseColWidth="10" defaultRowHeight="15" x14ac:dyDescent="0.25"/>
  <cols>
    <col min="2" max="2" width="23.140625" customWidth="1"/>
  </cols>
  <sheetData>
    <row r="2" spans="2:3" x14ac:dyDescent="0.25">
      <c r="B2" s="29" t="s">
        <v>42</v>
      </c>
    </row>
    <row r="4" spans="2:3" x14ac:dyDescent="0.25">
      <c r="B4" t="s">
        <v>43</v>
      </c>
      <c r="C4" s="1">
        <v>275683</v>
      </c>
    </row>
    <row r="5" spans="2:3" x14ac:dyDescent="0.25">
      <c r="B5" t="s">
        <v>44</v>
      </c>
      <c r="C5" s="1">
        <v>287236</v>
      </c>
    </row>
    <row r="7" spans="2:3" x14ac:dyDescent="0.25">
      <c r="B7" t="s">
        <v>45</v>
      </c>
      <c r="C7">
        <f>(C4*4/12)+(C5*8/12)</f>
        <v>283385</v>
      </c>
    </row>
    <row r="9" spans="2:3" x14ac:dyDescent="0.25">
      <c r="B9" s="29" t="s">
        <v>69</v>
      </c>
    </row>
    <row r="11" spans="2:3" x14ac:dyDescent="0.25">
      <c r="B11" t="s">
        <v>70</v>
      </c>
      <c r="C11" s="1">
        <v>85245</v>
      </c>
    </row>
    <row r="12" spans="2:3" x14ac:dyDescent="0.25">
      <c r="B12" t="s">
        <v>71</v>
      </c>
      <c r="C12" s="1">
        <v>88370</v>
      </c>
    </row>
    <row r="14" spans="2:3" x14ac:dyDescent="0.25">
      <c r="B14" t="s">
        <v>72</v>
      </c>
      <c r="C14">
        <f>ROUND((4*C11+8*C12)/12,0)</f>
        <v>87328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C3" sqref="C3"/>
    </sheetView>
  </sheetViews>
  <sheetFormatPr baseColWidth="10" defaultRowHeight="15" x14ac:dyDescent="0.25"/>
  <cols>
    <col min="2" max="2" width="14.7109375" customWidth="1"/>
    <col min="5" max="5" width="16.140625" customWidth="1"/>
  </cols>
  <sheetData>
    <row r="1" spans="1:15" x14ac:dyDescent="0.25">
      <c r="E1" t="s">
        <v>46</v>
      </c>
      <c r="F1" s="1">
        <v>88370</v>
      </c>
    </row>
    <row r="2" spans="1:15" x14ac:dyDescent="0.25">
      <c r="J2" t="s">
        <v>59</v>
      </c>
      <c r="L2" t="s">
        <v>68</v>
      </c>
    </row>
    <row r="4" spans="1:15" x14ac:dyDescent="0.25">
      <c r="B4" t="s">
        <v>49</v>
      </c>
      <c r="C4" s="10">
        <v>505268</v>
      </c>
      <c r="E4" s="11" t="s">
        <v>53</v>
      </c>
      <c r="F4" s="12"/>
      <c r="G4" s="12"/>
      <c r="H4" s="13" t="s">
        <v>47</v>
      </c>
      <c r="J4" t="s">
        <v>60</v>
      </c>
      <c r="K4" s="10">
        <v>353687</v>
      </c>
    </row>
    <row r="5" spans="1:15" x14ac:dyDescent="0.25">
      <c r="B5" t="s">
        <v>51</v>
      </c>
      <c r="C5" s="10">
        <v>353687</v>
      </c>
      <c r="E5" s="14" t="s">
        <v>54</v>
      </c>
      <c r="F5" s="15">
        <v>60000</v>
      </c>
      <c r="G5" s="15"/>
      <c r="H5" s="16"/>
      <c r="J5" t="s">
        <v>67</v>
      </c>
      <c r="K5">
        <f>100-(K4/C4)*100</f>
        <v>30.000118748861993</v>
      </c>
    </row>
    <row r="6" spans="1:15" x14ac:dyDescent="0.25">
      <c r="B6" t="s">
        <v>14</v>
      </c>
      <c r="C6">
        <f>100-(C5/C4)*100</f>
        <v>30.000118748861993</v>
      </c>
      <c r="E6" s="17" t="s">
        <v>52</v>
      </c>
      <c r="F6" s="18">
        <f>(F5+C5)</f>
        <v>413687</v>
      </c>
      <c r="G6" s="15"/>
      <c r="H6" s="19">
        <f>(C5+F1)</f>
        <v>442057</v>
      </c>
    </row>
    <row r="7" spans="1:15" x14ac:dyDescent="0.25">
      <c r="E7" s="17" t="s">
        <v>50</v>
      </c>
      <c r="F7" s="18">
        <f>F16</f>
        <v>404214.4</v>
      </c>
      <c r="G7" s="15"/>
      <c r="H7" s="20" t="str">
        <f>IF(H6&gt;F16,"Ja","Nei")</f>
        <v>Ja</v>
      </c>
      <c r="J7" s="28" t="s">
        <v>61</v>
      </c>
      <c r="L7" s="11" t="s">
        <v>53</v>
      </c>
      <c r="M7" s="12"/>
      <c r="N7" s="12"/>
      <c r="O7" s="13" t="s">
        <v>47</v>
      </c>
    </row>
    <row r="8" spans="1:15" x14ac:dyDescent="0.25">
      <c r="A8" s="27" t="s">
        <v>51</v>
      </c>
      <c r="B8" t="s">
        <v>58</v>
      </c>
      <c r="C8">
        <f>(C4*0.7)</f>
        <v>353687.6</v>
      </c>
      <c r="E8" s="17"/>
      <c r="F8" s="15"/>
      <c r="G8" s="15"/>
      <c r="H8" s="16"/>
      <c r="L8" s="14" t="s">
        <v>54</v>
      </c>
      <c r="M8" s="15">
        <v>60000</v>
      </c>
      <c r="N8" s="15"/>
      <c r="O8" s="16"/>
    </row>
    <row r="9" spans="1:15" x14ac:dyDescent="0.25">
      <c r="B9" t="s">
        <v>56</v>
      </c>
      <c r="C9">
        <f>(C4*0.65)</f>
        <v>328424.2</v>
      </c>
      <c r="E9" s="21" t="s">
        <v>55</v>
      </c>
      <c r="F9" s="15"/>
      <c r="G9" s="15"/>
      <c r="H9" s="16"/>
      <c r="L9" s="17" t="s">
        <v>52</v>
      </c>
      <c r="M9" s="18">
        <f>(K4+M8)</f>
        <v>413687</v>
      </c>
      <c r="N9" s="15"/>
      <c r="O9" s="19">
        <f>(K4+F1)</f>
        <v>442057</v>
      </c>
    </row>
    <row r="10" spans="1:15" x14ac:dyDescent="0.25">
      <c r="B10" t="s">
        <v>64</v>
      </c>
      <c r="C10">
        <f>(C4*0.6)</f>
        <v>303160.8</v>
      </c>
      <c r="E10" s="22" t="str">
        <f>IF(F6&gt;F7,"Ja","Nei")</f>
        <v>Ja</v>
      </c>
      <c r="F10" s="15"/>
      <c r="G10" s="15"/>
      <c r="H10" s="16"/>
      <c r="L10" s="17" t="s">
        <v>50</v>
      </c>
      <c r="M10" s="18">
        <f>M19</f>
        <v>404214.4</v>
      </c>
      <c r="N10" s="15"/>
      <c r="O10" s="20" t="str">
        <f>IF(O9&gt;M19,"Ja","Nei")</f>
        <v>Ja</v>
      </c>
    </row>
    <row r="11" spans="1:15" x14ac:dyDescent="0.25">
      <c r="B11" t="s">
        <v>66</v>
      </c>
      <c r="C11">
        <f>(C4*0.55)</f>
        <v>277897.40000000002</v>
      </c>
      <c r="E11" s="17"/>
      <c r="F11" s="15"/>
      <c r="G11" s="15"/>
      <c r="H11" s="16"/>
      <c r="L11" s="17"/>
      <c r="M11" s="15"/>
      <c r="N11" s="15"/>
      <c r="O11" s="16"/>
    </row>
    <row r="12" spans="1:15" x14ac:dyDescent="0.25">
      <c r="B12" t="s">
        <v>57</v>
      </c>
      <c r="C12">
        <f>(C4*0.5)</f>
        <v>252634</v>
      </c>
      <c r="E12" s="17"/>
      <c r="F12" s="15"/>
      <c r="G12" s="15"/>
      <c r="H12" s="16"/>
      <c r="L12" s="21" t="s">
        <v>55</v>
      </c>
      <c r="M12" s="15"/>
      <c r="N12" s="15"/>
      <c r="O12" s="16"/>
    </row>
    <row r="13" spans="1:15" x14ac:dyDescent="0.25">
      <c r="B13" t="s">
        <v>65</v>
      </c>
      <c r="C13">
        <f>(C4*0.45)</f>
        <v>227370.6</v>
      </c>
      <c r="E13" s="23" t="s">
        <v>63</v>
      </c>
      <c r="F13" s="15"/>
      <c r="G13" s="15"/>
      <c r="H13" s="16"/>
      <c r="L13" s="22" t="str">
        <f>IF(M9&gt;M10,"Ja","Nei")</f>
        <v>Ja</v>
      </c>
      <c r="M13" s="15"/>
      <c r="N13" s="15"/>
      <c r="O13" s="16"/>
    </row>
    <row r="14" spans="1:15" x14ac:dyDescent="0.25">
      <c r="E14" s="14" t="s">
        <v>48</v>
      </c>
      <c r="F14" s="15">
        <f>(0.4*F1)</f>
        <v>35348</v>
      </c>
      <c r="G14" s="15"/>
      <c r="H14" s="16"/>
      <c r="L14" s="17"/>
      <c r="M14" s="15"/>
      <c r="N14" s="15"/>
      <c r="O14" s="16"/>
    </row>
    <row r="15" spans="1:15" x14ac:dyDescent="0.25">
      <c r="E15" s="17" t="s">
        <v>52</v>
      </c>
      <c r="F15" s="18">
        <f>(C5+F14)</f>
        <v>389035</v>
      </c>
      <c r="G15" s="15"/>
      <c r="H15" s="16"/>
      <c r="L15" s="17"/>
      <c r="M15" s="15"/>
      <c r="N15" s="15"/>
      <c r="O15" s="16"/>
    </row>
    <row r="16" spans="1:15" x14ac:dyDescent="0.25">
      <c r="E16" s="17" t="s">
        <v>50</v>
      </c>
      <c r="F16" s="18">
        <f>(C4*0.8)</f>
        <v>404214.4</v>
      </c>
      <c r="G16" s="15"/>
      <c r="H16" s="16"/>
      <c r="L16" s="23" t="s">
        <v>63</v>
      </c>
      <c r="M16" s="15"/>
      <c r="N16" s="15"/>
      <c r="O16" s="16"/>
    </row>
    <row r="17" spans="5:15" x14ac:dyDescent="0.25">
      <c r="E17" s="17"/>
      <c r="F17" s="15"/>
      <c r="G17" s="15"/>
      <c r="H17" s="16"/>
      <c r="L17" s="14" t="s">
        <v>48</v>
      </c>
      <c r="M17" s="15">
        <f>F14</f>
        <v>35348</v>
      </c>
      <c r="N17" s="15"/>
      <c r="O17" s="16"/>
    </row>
    <row r="18" spans="5:15" x14ac:dyDescent="0.25">
      <c r="E18" s="21" t="s">
        <v>55</v>
      </c>
      <c r="F18" s="15"/>
      <c r="G18" s="15"/>
      <c r="H18" s="16"/>
      <c r="L18" s="17" t="s">
        <v>52</v>
      </c>
      <c r="M18" s="18">
        <f>(K4+M17)</f>
        <v>389035</v>
      </c>
      <c r="N18" s="15"/>
      <c r="O18" s="16"/>
    </row>
    <row r="19" spans="5:15" x14ac:dyDescent="0.25">
      <c r="E19" s="24" t="str">
        <f>IF(F15&gt;F16,"Ja","Nei")</f>
        <v>Nei</v>
      </c>
      <c r="F19" s="25"/>
      <c r="G19" s="25"/>
      <c r="H19" s="26"/>
      <c r="L19" s="17" t="s">
        <v>50</v>
      </c>
      <c r="M19" s="18">
        <f>F16</f>
        <v>404214.4</v>
      </c>
      <c r="N19" s="15"/>
      <c r="O19" s="16"/>
    </row>
    <row r="20" spans="5:15" x14ac:dyDescent="0.25">
      <c r="L20" s="17"/>
      <c r="M20" s="15"/>
      <c r="N20" s="15"/>
      <c r="O20" s="16"/>
    </row>
    <row r="21" spans="5:15" x14ac:dyDescent="0.25">
      <c r="L21" s="21" t="s">
        <v>55</v>
      </c>
      <c r="M21" s="15"/>
      <c r="N21" s="15"/>
      <c r="O21" s="16"/>
    </row>
    <row r="22" spans="5:15" x14ac:dyDescent="0.25">
      <c r="L22" s="24" t="str">
        <f>IF(M18&gt;M19,"Ja","Nei")</f>
        <v>Nei</v>
      </c>
      <c r="M22" s="25"/>
      <c r="N22" s="25"/>
      <c r="O22" s="26"/>
    </row>
    <row r="24" spans="5:15" x14ac:dyDescent="0.25">
      <c r="J24" s="28" t="s">
        <v>62</v>
      </c>
    </row>
  </sheetData>
  <dataValidations count="5">
    <dataValidation allowBlank="1" showInputMessage="1" showErrorMessage="1" prompt="Høyeste inntekt (IEU) som gir uføregrad på 30 prosent." sqref="B8"/>
    <dataValidation allowBlank="1" showInputMessage="1" showErrorMessage="1" prompt="Merk: For konverterte brukere hvor det ikke er registrert IEU, må IEU regnes ut fra IFU justert for uføregraden." sqref="B5"/>
    <dataValidation allowBlank="1" showInputMessage="1" showErrorMessage="1" prompt="Brukes til å regne ut beløpsgrensen (0,4 G) for nye saker, samt VTA." sqref="E1"/>
    <dataValidation allowBlank="1" showInputMessage="1" showErrorMessage="1" prompt="Dersom uføregraden øker i løpet av kalenderåret, beholdes høyeste inntektsgrense ut kalenderåret. Ny og lavere inntektsgrense gjelder fra 1. januar året etter." sqref="J2"/>
    <dataValidation allowBlank="1" showInputMessage="1" showErrorMessage="1" prompt="Dette er egentlig overflødig, bare en kopi av utregningen til venstre, men det kan være greit å kunne sammenligne i samme regneark/skjermbilde." sqref="L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B1" sqref="B1"/>
    </sheetView>
  </sheetViews>
  <sheetFormatPr baseColWidth="10" defaultRowHeight="15" x14ac:dyDescent="0.25"/>
  <sheetData>
    <row r="2" spans="1:10" x14ac:dyDescent="0.25">
      <c r="A2" t="s">
        <v>49</v>
      </c>
      <c r="B2" s="1">
        <v>600000</v>
      </c>
      <c r="D2" t="s">
        <v>94</v>
      </c>
    </row>
    <row r="3" spans="1:10" x14ac:dyDescent="0.25">
      <c r="A3" t="s">
        <v>51</v>
      </c>
      <c r="B3" s="1">
        <v>255000</v>
      </c>
      <c r="D3" t="s">
        <v>95</v>
      </c>
    </row>
    <row r="4" spans="1:10" x14ac:dyDescent="0.25">
      <c r="A4" t="s">
        <v>14</v>
      </c>
      <c r="B4">
        <f>100-(B3/B2)*100</f>
        <v>57.5</v>
      </c>
      <c r="D4" t="s">
        <v>96</v>
      </c>
    </row>
    <row r="5" spans="1:10" x14ac:dyDescent="0.25">
      <c r="D5" t="s">
        <v>97</v>
      </c>
    </row>
    <row r="7" spans="1:10" x14ac:dyDescent="0.25">
      <c r="A7" t="s">
        <v>93</v>
      </c>
    </row>
    <row r="8" spans="1:10" x14ac:dyDescent="0.25">
      <c r="B8">
        <v>2008</v>
      </c>
      <c r="C8">
        <v>2009</v>
      </c>
      <c r="D8">
        <v>2010</v>
      </c>
      <c r="E8">
        <v>2011</v>
      </c>
      <c r="F8">
        <v>2012</v>
      </c>
      <c r="G8">
        <v>2013</v>
      </c>
      <c r="H8">
        <v>2014</v>
      </c>
      <c r="I8">
        <v>2015</v>
      </c>
      <c r="J8">
        <v>2016</v>
      </c>
    </row>
    <row r="9" spans="1:10" x14ac:dyDescent="0.25">
      <c r="A9" t="s">
        <v>46</v>
      </c>
      <c r="B9" s="1">
        <v>70256</v>
      </c>
      <c r="C9" s="1">
        <v>72881</v>
      </c>
      <c r="D9" s="1">
        <v>75641</v>
      </c>
      <c r="E9" s="1">
        <v>79216</v>
      </c>
      <c r="F9" s="1">
        <v>82122</v>
      </c>
      <c r="G9" s="1">
        <v>85245</v>
      </c>
      <c r="H9" s="1">
        <v>88370</v>
      </c>
      <c r="I9" s="1">
        <v>91253</v>
      </c>
      <c r="J9" s="1">
        <v>95077</v>
      </c>
    </row>
    <row r="11" spans="1:10" x14ac:dyDescent="0.25">
      <c r="A11">
        <v>3.3</v>
      </c>
      <c r="B11">
        <f t="shared" ref="B11:J11" si="0">($A$11*B9)</f>
        <v>231844.8</v>
      </c>
      <c r="C11">
        <f t="shared" si="0"/>
        <v>240507.3</v>
      </c>
      <c r="D11">
        <f t="shared" si="0"/>
        <v>249615.3</v>
      </c>
      <c r="E11">
        <f t="shared" si="0"/>
        <v>261412.8</v>
      </c>
      <c r="F11">
        <f t="shared" si="0"/>
        <v>271002.59999999998</v>
      </c>
      <c r="G11">
        <f t="shared" si="0"/>
        <v>281308.5</v>
      </c>
      <c r="H11">
        <f t="shared" si="0"/>
        <v>291621</v>
      </c>
      <c r="I11">
        <f t="shared" si="0"/>
        <v>301134.89999999997</v>
      </c>
      <c r="J11">
        <f t="shared" si="0"/>
        <v>313754.09999999998</v>
      </c>
    </row>
    <row r="12" spans="1:10" x14ac:dyDescent="0.25">
      <c r="A12">
        <v>3.5</v>
      </c>
      <c r="B12">
        <f>($A$12*B9)</f>
        <v>245896</v>
      </c>
      <c r="C12">
        <f t="shared" ref="C12:J12" si="1">($A$12*C9)</f>
        <v>255083.5</v>
      </c>
      <c r="D12">
        <f t="shared" si="1"/>
        <v>264743.5</v>
      </c>
      <c r="E12">
        <f t="shared" si="1"/>
        <v>277256</v>
      </c>
      <c r="F12">
        <f t="shared" si="1"/>
        <v>287427</v>
      </c>
      <c r="G12">
        <f t="shared" si="1"/>
        <v>298357.5</v>
      </c>
      <c r="H12">
        <f t="shared" si="1"/>
        <v>309295</v>
      </c>
      <c r="I12">
        <f t="shared" si="1"/>
        <v>319385.5</v>
      </c>
      <c r="J12">
        <f t="shared" si="1"/>
        <v>332769.5</v>
      </c>
    </row>
    <row r="13" spans="1:10" x14ac:dyDescent="0.25">
      <c r="A13">
        <v>4.5</v>
      </c>
      <c r="B13">
        <f>($A$13*B9)</f>
        <v>316152</v>
      </c>
      <c r="C13">
        <f t="shared" ref="C13:J13" si="2">($A$13*C9)</f>
        <v>327964.5</v>
      </c>
      <c r="D13">
        <f t="shared" si="2"/>
        <v>340384.5</v>
      </c>
      <c r="E13">
        <f t="shared" si="2"/>
        <v>356472</v>
      </c>
      <c r="F13">
        <f t="shared" si="2"/>
        <v>369549</v>
      </c>
      <c r="G13">
        <f t="shared" si="2"/>
        <v>383602.5</v>
      </c>
      <c r="H13">
        <f t="shared" si="2"/>
        <v>397665</v>
      </c>
      <c r="I13">
        <f t="shared" si="2"/>
        <v>410638.5</v>
      </c>
      <c r="J13">
        <f t="shared" si="2"/>
        <v>427846.5</v>
      </c>
    </row>
    <row r="15" spans="1:10" x14ac:dyDescent="0.25">
      <c r="A15" t="s">
        <v>48</v>
      </c>
      <c r="H15">
        <f>(0.4*H9)</f>
        <v>35348</v>
      </c>
      <c r="I15">
        <f>(0.4*I9)</f>
        <v>36501.200000000004</v>
      </c>
      <c r="J15">
        <f>(0.4*J9)</f>
        <v>38030.800000000003</v>
      </c>
    </row>
    <row r="17" spans="1:1" x14ac:dyDescent="0.25">
      <c r="A17" t="s">
        <v>98</v>
      </c>
    </row>
  </sheetData>
  <dataValidations count="1">
    <dataValidation allowBlank="1" showInputMessage="1" showErrorMessage="1" prompt="Inntektsgrensen for ny uføretrygd (innvilget fra og med 01.01.2015) er IEU + 0,4 G. Kr. 88.245 er første grunnbeløp som benyttes til denne inntektsgrensen." sqref="A1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E2" sqref="E2"/>
    </sheetView>
  </sheetViews>
  <sheetFormatPr baseColWidth="10" defaultRowHeight="15" x14ac:dyDescent="0.25"/>
  <cols>
    <col min="1" max="1" width="11.42578125" customWidth="1"/>
    <col min="12" max="12" width="13.140625" customWidth="1"/>
  </cols>
  <sheetData>
    <row r="1" spans="1:14" x14ac:dyDescent="0.25">
      <c r="D1" t="s">
        <v>73</v>
      </c>
      <c r="E1" s="10">
        <v>88370</v>
      </c>
      <c r="G1" t="s">
        <v>48</v>
      </c>
      <c r="H1" s="30">
        <f>(E1*0.4)</f>
        <v>35348</v>
      </c>
    </row>
    <row r="2" spans="1:14" x14ac:dyDescent="0.25">
      <c r="A2" s="31" t="s">
        <v>74</v>
      </c>
      <c r="G2" t="s">
        <v>91</v>
      </c>
      <c r="H2" s="30">
        <f>(H1*2)</f>
        <v>70696</v>
      </c>
    </row>
    <row r="4" spans="1:14" x14ac:dyDescent="0.25">
      <c r="A4" t="s">
        <v>75</v>
      </c>
      <c r="L4" t="s">
        <v>74</v>
      </c>
      <c r="M4" t="s">
        <v>76</v>
      </c>
      <c r="N4" t="s">
        <v>76</v>
      </c>
    </row>
    <row r="5" spans="1:14" x14ac:dyDescent="0.25">
      <c r="L5" t="s">
        <v>87</v>
      </c>
      <c r="M5" t="s">
        <v>78</v>
      </c>
      <c r="N5" t="s">
        <v>77</v>
      </c>
    </row>
    <row r="6" spans="1:14" x14ac:dyDescent="0.25">
      <c r="B6" t="s">
        <v>79</v>
      </c>
      <c r="F6" t="s">
        <v>85</v>
      </c>
    </row>
    <row r="7" spans="1:14" x14ac:dyDescent="0.25">
      <c r="C7" t="s">
        <v>80</v>
      </c>
      <c r="D7" s="30">
        <f>(4.6*E1)</f>
        <v>406501.99999999994</v>
      </c>
      <c r="G7" t="s">
        <v>80</v>
      </c>
      <c r="H7" s="30">
        <f>(D7+(0.4*$E$1)*2)</f>
        <v>477197.99999999994</v>
      </c>
      <c r="L7" s="30">
        <f>(E1*0.4)</f>
        <v>35348</v>
      </c>
      <c r="M7">
        <f>ROUND((L7/12),0)</f>
        <v>2946</v>
      </c>
      <c r="N7" s="30">
        <f>M7*12</f>
        <v>35352</v>
      </c>
    </row>
    <row r="8" spans="1:14" x14ac:dyDescent="0.25">
      <c r="C8" t="s">
        <v>81</v>
      </c>
      <c r="D8" s="30">
        <f>(D7+0.4*E1)</f>
        <v>441849.99999999994</v>
      </c>
      <c r="G8" t="s">
        <v>81</v>
      </c>
      <c r="H8" s="30">
        <f>(D8+(0.4*$E$1)*2)</f>
        <v>512545.99999999994</v>
      </c>
      <c r="L8" s="30">
        <f>(L7*2)</f>
        <v>70696</v>
      </c>
      <c r="M8">
        <f>ROUND((L8/12),0)</f>
        <v>5891</v>
      </c>
      <c r="N8" s="30">
        <f>M8*12</f>
        <v>70692</v>
      </c>
    </row>
    <row r="9" spans="1:14" x14ac:dyDescent="0.25">
      <c r="C9" t="s">
        <v>82</v>
      </c>
      <c r="D9" s="30">
        <f>(D8+0.4*E1)</f>
        <v>477197.99999999994</v>
      </c>
      <c r="G9" t="s">
        <v>82</v>
      </c>
      <c r="H9" s="30">
        <f>(D9+(0.4*$E$1)*2)</f>
        <v>547894</v>
      </c>
      <c r="L9" s="30">
        <f>(L7*3)</f>
        <v>106044</v>
      </c>
      <c r="M9">
        <f>ROUND((L9/12),0)</f>
        <v>8837</v>
      </c>
      <c r="N9" s="30">
        <f>M9*12</f>
        <v>106044</v>
      </c>
    </row>
    <row r="10" spans="1:14" x14ac:dyDescent="0.25">
      <c r="C10" t="s">
        <v>83</v>
      </c>
      <c r="D10" s="30">
        <f>(D9+0.4*E1)</f>
        <v>512545.99999999994</v>
      </c>
      <c r="G10" t="s">
        <v>83</v>
      </c>
      <c r="H10" s="30">
        <f>(D10+(0.4*$E$1)*2)</f>
        <v>583242</v>
      </c>
      <c r="L10" s="30">
        <f>(L7*4)</f>
        <v>141392</v>
      </c>
      <c r="M10" s="30">
        <f>ROUND((L10/12),0)</f>
        <v>11783</v>
      </c>
      <c r="N10" s="30">
        <f>M10*12</f>
        <v>141396</v>
      </c>
    </row>
    <row r="13" spans="1:14" x14ac:dyDescent="0.25">
      <c r="A13" t="s">
        <v>84</v>
      </c>
    </row>
    <row r="15" spans="1:14" x14ac:dyDescent="0.25">
      <c r="B15" t="s">
        <v>79</v>
      </c>
      <c r="F15" t="s">
        <v>85</v>
      </c>
    </row>
    <row r="16" spans="1:14" x14ac:dyDescent="0.25">
      <c r="C16" t="s">
        <v>80</v>
      </c>
      <c r="D16" s="30">
        <f>(3.1*E1)</f>
        <v>273947</v>
      </c>
      <c r="G16" t="s">
        <v>80</v>
      </c>
      <c r="H16" s="30">
        <f>(D16+(0.4*$E$1)*2)</f>
        <v>344643</v>
      </c>
    </row>
    <row r="17" spans="1:8" x14ac:dyDescent="0.25">
      <c r="C17" t="s">
        <v>81</v>
      </c>
      <c r="D17" s="30">
        <f>(D16+0.4*E1)</f>
        <v>309295</v>
      </c>
      <c r="G17" t="s">
        <v>81</v>
      </c>
      <c r="H17" s="30">
        <f>(D17+(0.4*$E$1)*2)</f>
        <v>379991</v>
      </c>
    </row>
    <row r="18" spans="1:8" x14ac:dyDescent="0.25">
      <c r="C18" t="s">
        <v>82</v>
      </c>
      <c r="D18" s="30">
        <f>(D17+0.4*E1)</f>
        <v>344643</v>
      </c>
      <c r="G18" t="s">
        <v>82</v>
      </c>
      <c r="H18" s="30">
        <f>(D18+(0.4*$E$1)*2)</f>
        <v>415339</v>
      </c>
    </row>
    <row r="19" spans="1:8" x14ac:dyDescent="0.25">
      <c r="C19" t="s">
        <v>83</v>
      </c>
      <c r="D19" s="30">
        <f>(D18+0.4*E1)</f>
        <v>379991</v>
      </c>
      <c r="G19" t="s">
        <v>83</v>
      </c>
      <c r="H19" s="30">
        <f>(D19+(0.4*$E$1)*2)</f>
        <v>450687</v>
      </c>
    </row>
    <row r="22" spans="1:8" x14ac:dyDescent="0.25">
      <c r="A22" t="s">
        <v>88</v>
      </c>
    </row>
    <row r="23" spans="1:8" x14ac:dyDescent="0.25">
      <c r="A23" t="s">
        <v>89</v>
      </c>
    </row>
    <row r="24" spans="1:8" x14ac:dyDescent="0.25">
      <c r="A24" t="s">
        <v>90</v>
      </c>
    </row>
    <row r="25" spans="1:8" x14ac:dyDescent="0.25">
      <c r="A25" t="s">
        <v>92</v>
      </c>
    </row>
    <row r="27" spans="1:8" x14ac:dyDescent="0.25">
      <c r="A27" t="s">
        <v>86</v>
      </c>
    </row>
  </sheetData>
  <dataValidations count="2">
    <dataValidation allowBlank="1" showInputMessage="1" showErrorMessage="1" prompt="Ut fra det jeg kan se så regnes barnetillegget ut ved å først å regne ut årsbeleløpet for antall barn (felles og særkull hver for seg), deretter deles dette beløpet på 12. Månedsbeløpet for mer enn ett barn regnes IKKE ut ved å gange opp BT for ett barn." sqref="M4"/>
    <dataValidation allowBlank="1" showInputMessage="1" showErrorMessage="1" prompt="Se forskjell i beløp når G=88.370. Ett barn: 2946. To barn: 5891. Men 2946*2=5892. Månedsbeløpet for det første barnet blir altså IKKE ganget opp." sqref="M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IA mai 2015</vt:lpstr>
      <vt:lpstr>IA mai 2016</vt:lpstr>
      <vt:lpstr>Periodisering</vt:lpstr>
      <vt:lpstr>80 prosent</vt:lpstr>
      <vt:lpstr>Uføregrad</vt:lpstr>
      <vt:lpstr>Barnetillegg</vt:lpstr>
    </vt:vector>
  </TitlesOfParts>
  <Company>NAV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Skogestad, Thomas</dc:creator>
  <cp:lastModifiedBy>Skogestad, Thomas</cp:lastModifiedBy>
  <dcterms:created xsi:type="dcterms:W3CDTF">2015-01-23T09:51:47Z</dcterms:created>
  <dcterms:modified xsi:type="dcterms:W3CDTF">2015-02-11T07:48:58Z</dcterms:modified>
</cp:coreProperties>
</file>